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B-Projects\Yagi Design\Reference\"/>
    </mc:Choice>
  </mc:AlternateContent>
  <bookViews>
    <workbookView xWindow="0" yWindow="0" windowWidth="23460" windowHeight="10215"/>
  </bookViews>
  <sheets>
    <sheet name="Scaling" sheetId="2" r:id="rId1"/>
    <sheet name="Table 1" sheetId="3" r:id="rId2"/>
    <sheet name="Table 2" sheetId="6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H6" i="2" l="1"/>
  <c r="O11" i="2"/>
  <c r="M11" i="2"/>
  <c r="P11" i="2" s="1"/>
  <c r="O10" i="2"/>
  <c r="M10" i="2"/>
  <c r="P10" i="2" s="1"/>
  <c r="O9" i="2"/>
  <c r="M9" i="2"/>
  <c r="P9" i="2" s="1"/>
  <c r="O8" i="2"/>
  <c r="M8" i="2"/>
  <c r="P8" i="2" s="1"/>
  <c r="O7" i="2"/>
  <c r="N7" i="2"/>
  <c r="N8" i="2" s="1"/>
  <c r="M7" i="2"/>
  <c r="P7" i="2" s="1"/>
  <c r="Q6" i="2"/>
  <c r="O6" i="2"/>
  <c r="M6" i="2"/>
  <c r="P6" i="2" s="1"/>
  <c r="R6" i="2" l="1"/>
  <c r="R7" i="2" s="1"/>
  <c r="R8" i="2" s="1"/>
  <c r="R9" i="2" s="1"/>
  <c r="R10" i="2" s="1"/>
  <c r="R11" i="2" s="1"/>
  <c r="D20" i="2"/>
  <c r="Q8" i="2"/>
  <c r="N9" i="2"/>
  <c r="Q9" i="2" s="1"/>
  <c r="Q7" i="2"/>
  <c r="D13" i="2"/>
  <c r="D17" i="2" s="1"/>
  <c r="H4" i="2"/>
  <c r="H5" i="2" l="1"/>
  <c r="H7" i="2"/>
  <c r="N10" i="2"/>
  <c r="Q10" i="2" s="1"/>
  <c r="N11" i="2"/>
  <c r="Q11" i="2" s="1"/>
  <c r="D16" i="2"/>
  <c r="D15" i="2"/>
  <c r="H8" i="2" l="1"/>
  <c r="D8" i="2"/>
  <c r="D14" i="2"/>
  <c r="D22" i="2"/>
  <c r="D23" i="2" s="1"/>
  <c r="W19" i="2" l="1"/>
  <c r="X19" i="2" s="1"/>
  <c r="W11" i="2"/>
  <c r="X11" i="2" s="1"/>
  <c r="W4" i="2"/>
  <c r="X4" i="2" s="1"/>
  <c r="W8" i="2"/>
  <c r="X8" i="2" s="1"/>
  <c r="D21" i="2" s="1"/>
  <c r="D24" i="2" s="1"/>
  <c r="D25" i="2" s="1"/>
  <c r="D26" i="2" s="1"/>
  <c r="W7" i="2"/>
  <c r="X7" i="2" s="1"/>
  <c r="W5" i="2"/>
  <c r="X5" i="2" s="1"/>
  <c r="W18" i="2"/>
  <c r="X18" i="2" s="1"/>
  <c r="W10" i="2"/>
  <c r="X10" i="2" s="1"/>
  <c r="W6" i="2"/>
  <c r="X6" i="2" s="1"/>
  <c r="W13" i="2"/>
  <c r="X13" i="2" s="1"/>
  <c r="W12" i="2"/>
  <c r="X12" i="2" s="1"/>
  <c r="W17" i="2"/>
  <c r="X17" i="2" s="1"/>
  <c r="W9" i="2"/>
  <c r="X9" i="2" s="1"/>
  <c r="W14" i="2"/>
  <c r="X14" i="2" s="1"/>
  <c r="W16" i="2"/>
  <c r="X16" i="2" s="1"/>
  <c r="W15" i="2"/>
  <c r="X15" i="2" s="1"/>
</calcChain>
</file>

<file path=xl/sharedStrings.xml><?xml version="1.0" encoding="utf-8"?>
<sst xmlns="http://schemas.openxmlformats.org/spreadsheetml/2006/main" count="134" uniqueCount="106">
  <si>
    <t>In Meters:</t>
  </si>
  <si>
    <t>End 1</t>
  </si>
  <si>
    <t>End 2</t>
  </si>
  <si>
    <t>In Feet:</t>
  </si>
  <si>
    <t>X</t>
  </si>
  <si>
    <t>Y</t>
  </si>
  <si>
    <t>Z</t>
  </si>
  <si>
    <t>In Inches:</t>
  </si>
  <si>
    <t>Length</t>
  </si>
  <si>
    <t>Spacing</t>
  </si>
  <si>
    <t>Left</t>
  </si>
  <si>
    <t>Height</t>
  </si>
  <si>
    <t>Right</t>
  </si>
  <si>
    <t>Diameter</t>
  </si>
  <si>
    <t>W1</t>
  </si>
  <si>
    <t>W2</t>
  </si>
  <si>
    <t>W3</t>
  </si>
  <si>
    <t>W4</t>
  </si>
  <si>
    <t>W5</t>
  </si>
  <si>
    <t>W6</t>
  </si>
  <si>
    <t>Freq</t>
  </si>
  <si>
    <t>Freq MHz</t>
  </si>
  <si>
    <t>K=</t>
  </si>
  <si>
    <t>Design</t>
  </si>
  <si>
    <t>Speed of Light (ISO 1992 Standard)</t>
  </si>
  <si>
    <t>X=</t>
  </si>
  <si>
    <t>Wires</t>
  </si>
  <si>
    <t>Freq:</t>
  </si>
  <si>
    <r>
      <t xml:space="preserve">Element Length in </t>
    </r>
    <r>
      <rPr>
        <sz val="11"/>
        <color theme="1"/>
        <rFont val="Arial"/>
        <family val="2"/>
      </rPr>
      <t>λ</t>
    </r>
  </si>
  <si>
    <r>
      <t xml:space="preserve">Element Radius </t>
    </r>
    <r>
      <rPr>
        <sz val="11"/>
        <color theme="1"/>
        <rFont val="Arial"/>
        <family val="2"/>
      </rPr>
      <t>λ</t>
    </r>
  </si>
  <si>
    <t>Le1</t>
  </si>
  <si>
    <t>Ler=</t>
  </si>
  <si>
    <t>Fr=</t>
  </si>
  <si>
    <t>RQ=</t>
  </si>
  <si>
    <t>(2)</t>
  </si>
  <si>
    <t>(1)</t>
  </si>
  <si>
    <t>(5)</t>
  </si>
  <si>
    <t>(6)</t>
  </si>
  <si>
    <t>(8)</t>
  </si>
  <si>
    <t>Subscript 1</t>
  </si>
  <si>
    <t>Scale to Frequency:</t>
  </si>
  <si>
    <t>Radius:</t>
  </si>
  <si>
    <t>x1=</t>
  </si>
  <si>
    <t>(9)</t>
  </si>
  <si>
    <t>(10)</t>
  </si>
  <si>
    <t>a=</t>
  </si>
  <si>
    <t>fr2=</t>
  </si>
  <si>
    <t>le2=</t>
  </si>
  <si>
    <t>(11)</t>
  </si>
  <si>
    <t>(12)</t>
  </si>
  <si>
    <t>(13)</t>
  </si>
  <si>
    <t>Ro2</t>
  </si>
  <si>
    <t>Ro1</t>
  </si>
  <si>
    <t>K1</t>
  </si>
  <si>
    <t>K2</t>
  </si>
  <si>
    <t>Fr1</t>
  </si>
  <si>
    <t>element</t>
  </si>
  <si>
    <t>LE</t>
  </si>
  <si>
    <t>R</t>
  </si>
  <si>
    <t>DR</t>
  </si>
  <si>
    <t>D1</t>
  </si>
  <si>
    <t>D2</t>
  </si>
  <si>
    <t>D3</t>
  </si>
  <si>
    <t>D4</t>
  </si>
  <si>
    <t>Reflector</t>
  </si>
  <si>
    <t>Director</t>
  </si>
  <si>
    <t>Case 1</t>
  </si>
  <si>
    <t>Case 2</t>
  </si>
  <si>
    <t>Case 3</t>
  </si>
  <si>
    <t>Radius</t>
  </si>
  <si>
    <t>.25"</t>
  </si>
  <si>
    <t>.375"</t>
  </si>
  <si>
    <t>.500"</t>
  </si>
  <si>
    <t>.625"</t>
  </si>
  <si>
    <t>.750"</t>
  </si>
  <si>
    <t>.875"</t>
  </si>
  <si>
    <t>1.00"</t>
  </si>
  <si>
    <t>1.125"</t>
  </si>
  <si>
    <t>1.250"</t>
  </si>
  <si>
    <t>1.375"</t>
  </si>
  <si>
    <t>1.500"</t>
  </si>
  <si>
    <t>1.625"</t>
  </si>
  <si>
    <t>1.750"</t>
  </si>
  <si>
    <t>1.875"</t>
  </si>
  <si>
    <t>2.000"</t>
  </si>
  <si>
    <t>2.125"</t>
  </si>
  <si>
    <t>Wavelength in Inches:</t>
  </si>
  <si>
    <t>Element Diameter:</t>
  </si>
  <si>
    <t>F=1</t>
  </si>
  <si>
    <r>
      <t xml:space="preserve">Dia in </t>
    </r>
    <r>
      <rPr>
        <b/>
        <sz val="11"/>
        <color rgb="FFFFC000"/>
        <rFont val="Times New Roman"/>
        <family val="1"/>
      </rPr>
      <t>λ</t>
    </r>
  </si>
  <si>
    <t>Base Frequency Length</t>
  </si>
  <si>
    <t>2 Element Yagi</t>
  </si>
  <si>
    <t>3 Element Yagi</t>
  </si>
  <si>
    <t>4 Element Yagi</t>
  </si>
  <si>
    <t>5 Element Yagi</t>
  </si>
  <si>
    <t>6 Element Yagi</t>
  </si>
  <si>
    <t>Gain (dBi)</t>
  </si>
  <si>
    <t>F/B</t>
  </si>
  <si>
    <r>
      <t xml:space="preserve">Preferred Yagi antenna designs.  All elements have radius RO, of .0005260 </t>
    </r>
    <r>
      <rPr>
        <sz val="11"/>
        <color theme="1"/>
        <rFont val="Arial"/>
        <family val="2"/>
      </rPr>
      <t>λ</t>
    </r>
    <r>
      <rPr>
        <sz val="11"/>
        <color theme="1"/>
        <rFont val="Calibri"/>
        <family val="2"/>
      </rPr>
      <t xml:space="preserve"> and boom position X in λ</t>
    </r>
  </si>
  <si>
    <t>FR</t>
  </si>
  <si>
    <t>X (ohms)</t>
  </si>
  <si>
    <t>Driven Element</t>
  </si>
  <si>
    <r>
      <t xml:space="preserve">Case 1: Ro=.0005260 </t>
    </r>
    <r>
      <rPr>
        <sz val="11"/>
        <color theme="1"/>
        <rFont val="Times New Roman"/>
        <family val="1"/>
      </rPr>
      <t>λ</t>
    </r>
    <r>
      <rPr>
        <sz val="11"/>
        <color theme="1"/>
        <rFont val="Calibri"/>
        <family val="2"/>
        <scheme val="minor"/>
      </rPr>
      <t xml:space="preserve">, Case 2: Ro=.0008 </t>
    </r>
    <r>
      <rPr>
        <sz val="11"/>
        <color theme="1"/>
        <rFont val="Times New Roman"/>
        <family val="1"/>
      </rPr>
      <t>λ</t>
    </r>
    <r>
      <rPr>
        <sz val="11"/>
        <color theme="1"/>
        <rFont val="Calibri"/>
        <family val="2"/>
        <scheme val="minor"/>
      </rPr>
      <t xml:space="preserve">, Case 3: Ro=.0010 </t>
    </r>
    <r>
      <rPr>
        <sz val="11"/>
        <color theme="1"/>
        <rFont val="Times New Roman"/>
        <family val="1"/>
      </rPr>
      <t>λ</t>
    </r>
  </si>
  <si>
    <t>Results</t>
  </si>
  <si>
    <t>Wire Schedule for Use with EZ-NEC</t>
  </si>
  <si>
    <t>LE2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</si>
</sst>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#\ ??/16"/>
    <numFmt numFmtId="165" formatCode="0.00000"/>
    <numFmt numFmtId="166" formatCode="0.000"/>
    <numFmt numFmtId="167" formatCode="0.000000"/>
    <numFmt numFmtId="168" formatCode="0.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b/>
      <sz val="11"/>
      <color rgb="FFFFC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4">
    <xf numFmtId="0" fontId="0" fillId="0" borderId="0" xfId="0"/>
    <xf numFmtId="0" fontId="3" fillId="2" borderId="4" xfId="0" applyFont="1" applyFill="1" applyBorder="1" applyAlignment="1">
      <alignment horizontal="center"/>
    </xf>
    <xf numFmtId="0" fontId="0" fillId="0" borderId="4" xfId="0" applyBorder="1"/>
    <xf numFmtId="0" fontId="3" fillId="2" borderId="4" xfId="0" applyFont="1" applyFill="1" applyBorder="1"/>
    <xf numFmtId="0" fontId="0" fillId="0" borderId="2" xfId="0" applyFont="1" applyBorder="1" applyAlignment="1">
      <alignment horizontal="right"/>
    </xf>
    <xf numFmtId="0" fontId="0" fillId="0" borderId="3" xfId="0" applyFont="1" applyBorder="1" applyAlignment="1">
      <alignment horizontal="right"/>
    </xf>
    <xf numFmtId="0" fontId="0" fillId="0" borderId="6" xfId="0" applyFont="1" applyBorder="1" applyAlignment="1">
      <alignment horizontal="right"/>
    </xf>
    <xf numFmtId="0" fontId="0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3" fillId="2" borderId="0" xfId="0" applyFont="1" applyFill="1"/>
    <xf numFmtId="0" fontId="3" fillId="2" borderId="4" xfId="0" applyFont="1" applyFill="1" applyBorder="1" applyAlignment="1">
      <alignment horizontal="right"/>
    </xf>
    <xf numFmtId="0" fontId="0" fillId="0" borderId="4" xfId="0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6" fillId="2" borderId="18" xfId="0" applyFont="1" applyFill="1" applyBorder="1" applyAlignment="1">
      <alignment horizontal="center"/>
    </xf>
    <xf numFmtId="0" fontId="0" fillId="3" borderId="19" xfId="0" applyNumberFormat="1" applyFont="1" applyFill="1" applyBorder="1"/>
    <xf numFmtId="0" fontId="0" fillId="3" borderId="20" xfId="0" applyNumberFormat="1" applyFont="1" applyFill="1" applyBorder="1"/>
    <xf numFmtId="166" fontId="0" fillId="0" borderId="0" xfId="0" applyNumberFormat="1"/>
    <xf numFmtId="0" fontId="0" fillId="0" borderId="0" xfId="0" applyNumberFormat="1"/>
    <xf numFmtId="0" fontId="2" fillId="0" borderId="0" xfId="0" quotePrefix="1" applyFont="1" applyFill="1" applyBorder="1" applyAlignment="1">
      <alignment horizontal="center"/>
    </xf>
    <xf numFmtId="0" fontId="0" fillId="0" borderId="5" xfId="0" applyFont="1" applyBorder="1" applyAlignment="1">
      <alignment horizontal="right"/>
    </xf>
    <xf numFmtId="0" fontId="0" fillId="0" borderId="9" xfId="0" applyFont="1" applyBorder="1" applyAlignment="1">
      <alignment horizontal="right"/>
    </xf>
    <xf numFmtId="165" fontId="0" fillId="0" borderId="14" xfId="0" applyNumberFormat="1" applyFont="1" applyBorder="1"/>
    <xf numFmtId="165" fontId="0" fillId="0" borderId="16" xfId="0" applyNumberFormat="1" applyBorder="1"/>
    <xf numFmtId="0" fontId="0" fillId="0" borderId="13" xfId="0" applyFont="1" applyBorder="1" applyAlignment="1">
      <alignment horizontal="right"/>
    </xf>
    <xf numFmtId="0" fontId="2" fillId="0" borderId="15" xfId="0" quotePrefix="1" applyFont="1" applyFill="1" applyBorder="1" applyAlignment="1">
      <alignment horizontal="center"/>
    </xf>
    <xf numFmtId="0" fontId="0" fillId="0" borderId="23" xfId="0" applyFont="1" applyFill="1" applyBorder="1" applyAlignment="1">
      <alignment horizontal="right"/>
    </xf>
    <xf numFmtId="0" fontId="2" fillId="0" borderId="24" xfId="0" quotePrefix="1" applyFont="1" applyFill="1" applyBorder="1" applyAlignment="1">
      <alignment horizontal="center"/>
    </xf>
    <xf numFmtId="0" fontId="0" fillId="0" borderId="10" xfId="0" applyFont="1" applyFill="1" applyBorder="1" applyAlignment="1">
      <alignment horizontal="right"/>
    </xf>
    <xf numFmtId="0" fontId="0" fillId="0" borderId="11" xfId="0" applyBorder="1"/>
    <xf numFmtId="0" fontId="2" fillId="0" borderId="12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5" fontId="0" fillId="0" borderId="4" xfId="0" applyNumberFormat="1" applyBorder="1"/>
    <xf numFmtId="0" fontId="4" fillId="2" borderId="2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/>
    <xf numFmtId="0" fontId="0" fillId="0" borderId="27" xfId="0" applyBorder="1"/>
    <xf numFmtId="0" fontId="0" fillId="4" borderId="3" xfId="0" applyFill="1" applyBorder="1" applyAlignment="1">
      <alignment horizontal="center"/>
    </xf>
    <xf numFmtId="166" fontId="0" fillId="4" borderId="4" xfId="0" applyNumberFormat="1" applyFill="1" applyBorder="1"/>
    <xf numFmtId="165" fontId="0" fillId="4" borderId="4" xfId="0" applyNumberFormat="1" applyFill="1" applyBorder="1"/>
    <xf numFmtId="168" fontId="0" fillId="4" borderId="4" xfId="0" applyNumberFormat="1" applyFill="1" applyBorder="1"/>
    <xf numFmtId="0" fontId="0" fillId="4" borderId="27" xfId="0" applyFill="1" applyBorder="1"/>
    <xf numFmtId="0" fontId="0" fillId="4" borderId="6" xfId="0" applyFill="1" applyBorder="1" applyAlignment="1">
      <alignment horizontal="center"/>
    </xf>
    <xf numFmtId="166" fontId="0" fillId="4" borderId="29" xfId="0" applyNumberFormat="1" applyFill="1" applyBorder="1"/>
    <xf numFmtId="0" fontId="0" fillId="4" borderId="30" xfId="0" applyFill="1" applyBorder="1"/>
    <xf numFmtId="0" fontId="0" fillId="4" borderId="4" xfId="0" applyFill="1" applyBorder="1"/>
    <xf numFmtId="167" fontId="0" fillId="0" borderId="0" xfId="0" applyNumberFormat="1"/>
    <xf numFmtId="1" fontId="0" fillId="0" borderId="0" xfId="0" applyNumberFormat="1"/>
    <xf numFmtId="0" fontId="0" fillId="0" borderId="30" xfId="0" applyBorder="1"/>
    <xf numFmtId="0" fontId="3" fillId="2" borderId="4" xfId="0" applyFont="1" applyFill="1" applyBorder="1" applyAlignment="1">
      <alignment horizontal="center"/>
    </xf>
    <xf numFmtId="0" fontId="0" fillId="0" borderId="37" xfId="0" applyFont="1" applyBorder="1" applyAlignment="1">
      <alignment horizontal="right"/>
    </xf>
    <xf numFmtId="0" fontId="0" fillId="3" borderId="38" xfId="0" applyNumberFormat="1" applyFont="1" applyFill="1" applyBorder="1"/>
    <xf numFmtId="0" fontId="0" fillId="0" borderId="38" xfId="0" applyNumberFormat="1" applyFont="1" applyFill="1" applyBorder="1"/>
    <xf numFmtId="0" fontId="0" fillId="0" borderId="0" xfId="0" applyAlignment="1">
      <alignment horizontal="center"/>
    </xf>
    <xf numFmtId="0" fontId="0" fillId="0" borderId="21" xfId="0" applyNumberFormat="1" applyFont="1" applyFill="1" applyBorder="1"/>
    <xf numFmtId="0" fontId="0" fillId="0" borderId="25" xfId="0" applyBorder="1"/>
    <xf numFmtId="0" fontId="0" fillId="0" borderId="26" xfId="0" applyNumberFormat="1" applyBorder="1"/>
    <xf numFmtId="0" fontId="0" fillId="0" borderId="27" xfId="0" applyNumberFormat="1" applyBorder="1"/>
    <xf numFmtId="0" fontId="4" fillId="2" borderId="34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0" fillId="4" borderId="27" xfId="0" applyNumberFormat="1" applyFill="1" applyBorder="1"/>
    <xf numFmtId="0" fontId="0" fillId="4" borderId="29" xfId="0" applyFill="1" applyBorder="1"/>
    <xf numFmtId="0" fontId="0" fillId="4" borderId="30" xfId="0" applyNumberFormat="1" applyFill="1" applyBorder="1"/>
    <xf numFmtId="0" fontId="0" fillId="0" borderId="2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3" borderId="4" xfId="0" applyFill="1" applyBorder="1"/>
    <xf numFmtId="0" fontId="4" fillId="2" borderId="2" xfId="0" applyFont="1" applyFill="1" applyBorder="1" applyAlignment="1">
      <alignment horizontal="centerContinuous"/>
    </xf>
    <xf numFmtId="0" fontId="4" fillId="2" borderId="26" xfId="0" applyFont="1" applyFill="1" applyBorder="1" applyAlignment="1">
      <alignment horizontal="centerContinuous"/>
    </xf>
    <xf numFmtId="0" fontId="0" fillId="0" borderId="3" xfId="0" applyBorder="1" applyAlignment="1">
      <alignment horizontal="right"/>
    </xf>
    <xf numFmtId="0" fontId="0" fillId="0" borderId="27" xfId="1" applyNumberFormat="1" applyFont="1" applyBorder="1"/>
    <xf numFmtId="0" fontId="0" fillId="0" borderId="3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165" fontId="0" fillId="0" borderId="25" xfId="0" applyNumberFormat="1" applyBorder="1"/>
    <xf numFmtId="0" fontId="2" fillId="0" borderId="26" xfId="0" quotePrefix="1" applyFont="1" applyFill="1" applyBorder="1" applyAlignment="1">
      <alignment horizontal="center"/>
    </xf>
    <xf numFmtId="0" fontId="0" fillId="0" borderId="3" xfId="0" applyFont="1" applyFill="1" applyBorder="1" applyAlignment="1">
      <alignment horizontal="right"/>
    </xf>
    <xf numFmtId="0" fontId="2" fillId="0" borderId="27" xfId="0" quotePrefix="1" applyFont="1" applyFill="1" applyBorder="1" applyAlignment="1">
      <alignment horizontal="center"/>
    </xf>
    <xf numFmtId="0" fontId="0" fillId="0" borderId="6" xfId="0" applyFont="1" applyFill="1" applyBorder="1" applyAlignment="1">
      <alignment horizontal="right"/>
    </xf>
    <xf numFmtId="165" fontId="0" fillId="0" borderId="29" xfId="0" applyNumberFormat="1" applyBorder="1"/>
    <xf numFmtId="0" fontId="2" fillId="0" borderId="30" xfId="0" quotePrefix="1" applyFont="1" applyFill="1" applyBorder="1" applyAlignment="1">
      <alignment horizontal="center"/>
    </xf>
    <xf numFmtId="0" fontId="0" fillId="5" borderId="0" xfId="0" applyFill="1"/>
    <xf numFmtId="0" fontId="0" fillId="5" borderId="3" xfId="0" applyFill="1" applyBorder="1" applyAlignment="1">
      <alignment horizontal="center"/>
    </xf>
    <xf numFmtId="166" fontId="0" fillId="5" borderId="4" xfId="0" applyNumberFormat="1" applyFill="1" applyBorder="1"/>
    <xf numFmtId="0" fontId="0" fillId="5" borderId="4" xfId="0" applyFill="1" applyBorder="1"/>
    <xf numFmtId="0" fontId="0" fillId="5" borderId="0" xfId="0" applyFill="1" applyBorder="1"/>
    <xf numFmtId="165" fontId="0" fillId="5" borderId="4" xfId="0" applyNumberFormat="1" applyFill="1" applyBorder="1"/>
    <xf numFmtId="168" fontId="0" fillId="5" borderId="4" xfId="0" applyNumberFormat="1" applyFill="1" applyBorder="1"/>
    <xf numFmtId="0" fontId="0" fillId="5" borderId="27" xfId="0" applyFill="1" applyBorder="1"/>
    <xf numFmtId="0" fontId="0" fillId="5" borderId="6" xfId="0" applyFill="1" applyBorder="1" applyAlignment="1">
      <alignment horizontal="center"/>
    </xf>
    <xf numFmtId="0" fontId="0" fillId="5" borderId="28" xfId="0" applyFill="1" applyBorder="1"/>
    <xf numFmtId="0" fontId="0" fillId="5" borderId="2" xfId="0" applyFill="1" applyBorder="1" applyAlignment="1">
      <alignment horizontal="center"/>
    </xf>
    <xf numFmtId="0" fontId="0" fillId="5" borderId="10" xfId="0" applyFill="1" applyBorder="1" applyAlignment="1">
      <alignment horizontal="centerContinuous"/>
    </xf>
    <xf numFmtId="0" fontId="0" fillId="5" borderId="28" xfId="0" applyFill="1" applyBorder="1" applyAlignment="1">
      <alignment horizontal="centerContinuous"/>
    </xf>
    <xf numFmtId="0" fontId="0" fillId="5" borderId="35" xfId="0" applyFill="1" applyBorder="1" applyAlignment="1">
      <alignment horizontal="centerContinuous"/>
    </xf>
    <xf numFmtId="166" fontId="0" fillId="5" borderId="39" xfId="0" applyNumberFormat="1" applyFill="1" applyBorder="1"/>
    <xf numFmtId="165" fontId="0" fillId="5" borderId="39" xfId="0" applyNumberFormat="1" applyFill="1" applyBorder="1"/>
    <xf numFmtId="0" fontId="4" fillId="2" borderId="31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168" fontId="0" fillId="5" borderId="39" xfId="0" applyNumberFormat="1" applyFill="1" applyBorder="1"/>
    <xf numFmtId="0" fontId="0" fillId="5" borderId="41" xfId="0" applyFill="1" applyBorder="1"/>
    <xf numFmtId="0" fontId="0" fillId="5" borderId="11" xfId="0" applyFill="1" applyBorder="1"/>
    <xf numFmtId="0" fontId="0" fillId="5" borderId="36" xfId="0" applyFill="1" applyBorder="1"/>
    <xf numFmtId="0" fontId="0" fillId="0" borderId="0" xfId="0" applyFill="1"/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165" fontId="0" fillId="5" borderId="25" xfId="0" applyNumberFormat="1" applyFill="1" applyBorder="1"/>
    <xf numFmtId="165" fontId="0" fillId="5" borderId="26" xfId="0" applyNumberFormat="1" applyFill="1" applyBorder="1"/>
    <xf numFmtId="0" fontId="0" fillId="5" borderId="3" xfId="0" applyFill="1" applyBorder="1"/>
    <xf numFmtId="165" fontId="0" fillId="5" borderId="27" xfId="0" applyNumberFormat="1" applyFill="1" applyBorder="1"/>
    <xf numFmtId="165" fontId="0" fillId="5" borderId="2" xfId="0" applyNumberFormat="1" applyFill="1" applyBorder="1"/>
    <xf numFmtId="165" fontId="0" fillId="5" borderId="3" xfId="0" applyNumberFormat="1" applyFill="1" applyBorder="1"/>
    <xf numFmtId="0" fontId="4" fillId="2" borderId="6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0" fillId="5" borderId="13" xfId="0" applyFill="1" applyBorder="1"/>
    <xf numFmtId="165" fontId="0" fillId="5" borderId="14" xfId="0" applyNumberFormat="1" applyFill="1" applyBorder="1"/>
    <xf numFmtId="165" fontId="0" fillId="5" borderId="15" xfId="0" applyNumberFormat="1" applyFill="1" applyBorder="1"/>
    <xf numFmtId="165" fontId="0" fillId="5" borderId="13" xfId="0" applyNumberFormat="1" applyFill="1" applyBorder="1"/>
    <xf numFmtId="0" fontId="3" fillId="2" borderId="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29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0" fillId="5" borderId="34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0" fillId="5" borderId="33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1047750</xdr:colOff>
      <xdr:row>11</xdr:row>
      <xdr:rowOff>171449</xdr:rowOff>
    </xdr:from>
    <xdr:to>
      <xdr:col>15</xdr:col>
      <xdr:colOff>466725</xdr:colOff>
      <xdr:row>17</xdr:row>
      <xdr:rowOff>66675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9658350" y="2324099"/>
              <a:ext cx="2667000" cy="1047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100"/>
                <a:t>wavelength = speed of light / frequency</a:t>
              </a:r>
            </a:p>
            <a:p>
              <a:r>
                <a:rPr lang="en-US" sz="1100"/>
                <a:t>frequency = speed of light / wavelength</a:t>
              </a:r>
            </a:p>
            <a:p>
              <a:endParaRPr lang="en-US" sz="1100"/>
            </a:p>
            <a:p>
              <a:r>
                <a:rPr lang="en-US" sz="1100"/>
                <a:t>Speed of light in air: 11799.32 in./</a:t>
              </a:r>
              <a14:m>
                <m:oMath xmlns:m="http://schemas.openxmlformats.org/officeDocument/2006/math">
                  <m:r>
                    <a:rPr lang="en-US" sz="110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𝜇</m:t>
                  </m:r>
                  <m:r>
                    <a:rPr lang="en-US" sz="1100" b="0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𝑠</m:t>
                  </m:r>
                </m:oMath>
              </a14:m>
              <a:endParaRPr lang="en-US" sz="1100"/>
            </a:p>
            <a:p>
              <a:r>
                <a:rPr lang="en-US" sz="1100"/>
                <a:t>	</a:t>
              </a:r>
              <a:r>
                <a:rPr lang="en-US" sz="1100" baseline="0"/>
                <a:t>        </a:t>
              </a:r>
              <a:r>
                <a:rPr lang="en-US" sz="1100"/>
                <a:t>299702728 m/s</a:t>
              </a:r>
            </a:p>
            <a:p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9658350" y="2324099"/>
              <a:ext cx="2667000" cy="1047751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100"/>
                <a:t>wavelength = speed of light / frequency</a:t>
              </a:r>
            </a:p>
            <a:p>
              <a:r>
                <a:rPr lang="en-US" sz="1100"/>
                <a:t>frequency = speed of light / wavelength</a:t>
              </a:r>
            </a:p>
            <a:p>
              <a:endParaRPr lang="en-US" sz="1100"/>
            </a:p>
            <a:p>
              <a:r>
                <a:rPr lang="en-US" sz="1100"/>
                <a:t>Speed of light in air: 11799.32 in./</a:t>
              </a:r>
              <a:r>
                <a:rPr lang="en-US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𝜇</a:t>
              </a:r>
              <a:r>
                <a:rPr lang="en-US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𝑠</a:t>
              </a:r>
              <a:endParaRPr lang="en-US" sz="1100"/>
            </a:p>
            <a:p>
              <a:r>
                <a:rPr lang="en-US" sz="1100"/>
                <a:t>	</a:t>
              </a:r>
              <a:r>
                <a:rPr lang="en-US" sz="1100" baseline="0"/>
                <a:t>        </a:t>
              </a:r>
              <a:r>
                <a:rPr lang="en-US" sz="1100"/>
                <a:t>299702728 m/s</a:t>
              </a:r>
            </a:p>
            <a:p>
              <a:endParaRPr lang="en-US" sz="1100"/>
            </a:p>
          </xdr:txBody>
        </xdr:sp>
      </mc:Fallback>
    </mc:AlternateContent>
    <xdr:clientData/>
  </xdr:twoCellAnchor>
  <xdr:twoCellAnchor>
    <xdr:from>
      <xdr:col>5</xdr:col>
      <xdr:colOff>114300</xdr:colOff>
      <xdr:row>11</xdr:row>
      <xdr:rowOff>28575</xdr:rowOff>
    </xdr:from>
    <xdr:to>
      <xdr:col>9</xdr:col>
      <xdr:colOff>533400</xdr:colOff>
      <xdr:row>25</xdr:row>
      <xdr:rowOff>123825</xdr:rowOff>
    </xdr:to>
    <xdr:cxnSp macro="">
      <xdr:nvCxnSpPr>
        <xdr:cNvPr id="4" name="Straight Arrow Connector 3"/>
        <xdr:cNvCxnSpPr/>
      </xdr:nvCxnSpPr>
      <xdr:spPr>
        <a:xfrm flipV="1">
          <a:off x="4257675" y="2181225"/>
          <a:ext cx="4276725" cy="2781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7"/>
  <sheetViews>
    <sheetView tabSelected="1" workbookViewId="0">
      <selection activeCell="G15" sqref="G15"/>
    </sheetView>
  </sheetViews>
  <sheetFormatPr defaultRowHeight="15" x14ac:dyDescent="0.25"/>
  <cols>
    <col min="1" max="1" width="2.7109375" customWidth="1"/>
    <col min="2" max="2" width="32.85546875" bestFit="1" customWidth="1"/>
    <col min="3" max="3" width="5" bestFit="1" customWidth="1"/>
    <col min="4" max="4" width="15.7109375" customWidth="1"/>
    <col min="5" max="5" width="5.85546875" style="9" customWidth="1"/>
    <col min="6" max="6" width="11.28515625" customWidth="1"/>
    <col min="7" max="7" width="21.85546875" customWidth="1"/>
    <col min="8" max="8" width="15.5703125" customWidth="1"/>
    <col min="11" max="11" width="16.7109375" bestFit="1" customWidth="1"/>
    <col min="12" max="12" width="7.7109375" bestFit="1" customWidth="1"/>
    <col min="13" max="13" width="9.7109375" bestFit="1" customWidth="1"/>
    <col min="14" max="14" width="6.85546875" bestFit="1" customWidth="1"/>
    <col min="15" max="15" width="7.7109375" bestFit="1" customWidth="1"/>
    <col min="16" max="16" width="9" bestFit="1" customWidth="1"/>
    <col min="17" max="17" width="6.85546875" bestFit="1" customWidth="1"/>
    <col min="21" max="21" width="9.28515625" bestFit="1" customWidth="1"/>
    <col min="22" max="22" width="7" bestFit="1" customWidth="1"/>
    <col min="23" max="24" width="12" bestFit="1" customWidth="1"/>
  </cols>
  <sheetData>
    <row r="1" spans="2:24" ht="15.75" thickBot="1" x14ac:dyDescent="0.3"/>
    <row r="2" spans="2:24" ht="15.75" thickBot="1" x14ac:dyDescent="0.3">
      <c r="G2" s="74" t="s">
        <v>24</v>
      </c>
      <c r="H2" s="75"/>
      <c r="J2" s="131" t="s">
        <v>104</v>
      </c>
      <c r="K2" s="131"/>
      <c r="L2" s="131"/>
      <c r="M2" s="131"/>
      <c r="N2" s="131"/>
      <c r="O2" s="131"/>
      <c r="P2" s="131"/>
      <c r="Q2" s="131"/>
      <c r="R2" s="131"/>
    </row>
    <row r="3" spans="2:24" ht="15.75" thickBot="1" x14ac:dyDescent="0.3">
      <c r="D3" s="20" t="s">
        <v>23</v>
      </c>
      <c r="E3" s="8"/>
      <c r="F3" s="8"/>
      <c r="G3" s="76" t="s">
        <v>0</v>
      </c>
      <c r="H3" s="77">
        <v>299792458</v>
      </c>
      <c r="J3" s="15" t="s">
        <v>27</v>
      </c>
      <c r="K3" s="1">
        <v>28</v>
      </c>
      <c r="L3" s="126" t="s">
        <v>1</v>
      </c>
      <c r="M3" s="126"/>
      <c r="N3" s="126"/>
      <c r="O3" s="126" t="s">
        <v>2</v>
      </c>
      <c r="P3" s="126"/>
      <c r="Q3" s="126"/>
      <c r="R3" s="14"/>
      <c r="U3" s="65" t="s">
        <v>13</v>
      </c>
      <c r="V3" s="66" t="s">
        <v>69</v>
      </c>
      <c r="W3" s="66" t="s">
        <v>89</v>
      </c>
      <c r="X3" s="67" t="s">
        <v>51</v>
      </c>
    </row>
    <row r="4" spans="2:24" x14ac:dyDescent="0.25">
      <c r="B4" s="4" t="s">
        <v>28</v>
      </c>
      <c r="C4" s="12" t="s">
        <v>30</v>
      </c>
      <c r="D4" s="21">
        <v>0.44811000000000001</v>
      </c>
      <c r="E4" s="18"/>
      <c r="F4" s="7"/>
      <c r="G4" s="76" t="s">
        <v>3</v>
      </c>
      <c r="H4" s="77">
        <f>CONVERT(H3,"m","ft")</f>
        <v>983571056.43044615</v>
      </c>
      <c r="J4" s="3"/>
      <c r="K4" s="56" t="s">
        <v>105</v>
      </c>
      <c r="L4" s="1" t="s">
        <v>4</v>
      </c>
      <c r="M4" s="1" t="s">
        <v>5</v>
      </c>
      <c r="N4" s="1" t="s">
        <v>6</v>
      </c>
      <c r="O4" s="1" t="s">
        <v>4</v>
      </c>
      <c r="P4" s="1" t="s">
        <v>5</v>
      </c>
      <c r="Q4" s="1" t="s">
        <v>6</v>
      </c>
      <c r="R4" s="14"/>
      <c r="S4" s="60"/>
      <c r="T4" s="71" t="s">
        <v>70</v>
      </c>
      <c r="U4" s="62">
        <v>0.25</v>
      </c>
      <c r="V4" s="62">
        <f>U4/2</f>
        <v>0.125</v>
      </c>
      <c r="W4" s="62">
        <f>U4/$D$8</f>
        <v>5.9307696126231432E-4</v>
      </c>
      <c r="X4" s="63">
        <f>W4/2</f>
        <v>2.9653848063115716E-4</v>
      </c>
    </row>
    <row r="5" spans="2:24" x14ac:dyDescent="0.25">
      <c r="B5" s="5" t="s">
        <v>29</v>
      </c>
      <c r="C5" s="19" t="s">
        <v>52</v>
      </c>
      <c r="D5" s="22">
        <v>5.2599999999999999E-4</v>
      </c>
      <c r="E5" s="18"/>
      <c r="F5" s="7"/>
      <c r="G5" s="76" t="s">
        <v>7</v>
      </c>
      <c r="H5" s="77">
        <f>H4*12</f>
        <v>11802852677.165354</v>
      </c>
      <c r="J5" s="3" t="s">
        <v>26</v>
      </c>
      <c r="K5" s="1" t="s">
        <v>8</v>
      </c>
      <c r="L5" s="1" t="s">
        <v>9</v>
      </c>
      <c r="M5" s="1" t="s">
        <v>10</v>
      </c>
      <c r="N5" s="1" t="s">
        <v>11</v>
      </c>
      <c r="O5" s="1" t="s">
        <v>9</v>
      </c>
      <c r="P5" s="1" t="s">
        <v>12</v>
      </c>
      <c r="Q5" s="1" t="s">
        <v>11</v>
      </c>
      <c r="R5" s="17" t="s">
        <v>13</v>
      </c>
      <c r="S5" s="60"/>
      <c r="T5" s="44" t="s">
        <v>71</v>
      </c>
      <c r="U5" s="52">
        <v>0.375</v>
      </c>
      <c r="V5" s="52">
        <f t="shared" ref="V5:V19" si="0">U5/2</f>
        <v>0.1875</v>
      </c>
      <c r="W5" s="52">
        <f t="shared" ref="W5:W19" si="1">U5/$D$8</f>
        <v>8.8961544189347153E-4</v>
      </c>
      <c r="X5" s="68">
        <f t="shared" ref="X5:X19" si="2">W5/2</f>
        <v>4.4480772094673577E-4</v>
      </c>
    </row>
    <row r="6" spans="2:24" x14ac:dyDescent="0.25">
      <c r="B6" s="5" t="s">
        <v>21</v>
      </c>
      <c r="C6" s="26" t="s">
        <v>20</v>
      </c>
      <c r="D6" s="22">
        <v>14.2</v>
      </c>
      <c r="E6" s="7"/>
      <c r="F6" s="7"/>
      <c r="G6" s="78" t="s">
        <v>90</v>
      </c>
      <c r="H6" s="43">
        <f>H3/(D6*1000000)</f>
        <v>21.112144929577465</v>
      </c>
      <c r="J6" s="16" t="s">
        <v>14</v>
      </c>
      <c r="K6" s="73">
        <v>0.49477703773062248</v>
      </c>
      <c r="L6" s="73">
        <v>0</v>
      </c>
      <c r="M6" s="2">
        <f>K6/2*-1</f>
        <v>-0.24738851886531124</v>
      </c>
      <c r="N6" s="2">
        <v>1</v>
      </c>
      <c r="O6" s="2">
        <f>L6</f>
        <v>0</v>
      </c>
      <c r="P6" s="2">
        <f>ABS(M6)</f>
        <v>0.24738851886531124</v>
      </c>
      <c r="Q6" s="2">
        <f>N6</f>
        <v>1</v>
      </c>
      <c r="R6" s="2">
        <f>D5*2</f>
        <v>1.052E-3</v>
      </c>
      <c r="S6" s="72"/>
      <c r="T6" s="41" t="s">
        <v>72</v>
      </c>
      <c r="U6" s="2">
        <v>0.5</v>
      </c>
      <c r="V6" s="2">
        <f t="shared" si="0"/>
        <v>0.25</v>
      </c>
      <c r="W6" s="2">
        <f t="shared" si="1"/>
        <v>1.1861539225246286E-3</v>
      </c>
      <c r="X6" s="64">
        <f t="shared" si="2"/>
        <v>5.9307696126231432E-4</v>
      </c>
    </row>
    <row r="7" spans="2:24" x14ac:dyDescent="0.25">
      <c r="B7" s="5" t="s">
        <v>40</v>
      </c>
      <c r="C7" s="26" t="s">
        <v>88</v>
      </c>
      <c r="D7" s="22">
        <v>28</v>
      </c>
      <c r="E7" s="7"/>
      <c r="F7" s="7"/>
      <c r="G7" s="78" t="s">
        <v>3</v>
      </c>
      <c r="H7" s="43">
        <f>H4/(D6*1000000)</f>
        <v>69.265567354256774</v>
      </c>
      <c r="J7" s="16" t="s">
        <v>15</v>
      </c>
      <c r="K7" s="73">
        <v>0.47833529603522285</v>
      </c>
      <c r="L7" s="73">
        <v>0.15</v>
      </c>
      <c r="M7" s="2">
        <f>K7/2*-1</f>
        <v>-0.23916764801761142</v>
      </c>
      <c r="N7" s="2">
        <f>N6</f>
        <v>1</v>
      </c>
      <c r="O7" s="2">
        <f>L7</f>
        <v>0.15</v>
      </c>
      <c r="P7" s="2">
        <f>ABS(M7)</f>
        <v>0.23916764801761142</v>
      </c>
      <c r="Q7" s="2">
        <f>N7</f>
        <v>1</v>
      </c>
      <c r="R7" s="2">
        <f>R6</f>
        <v>1.052E-3</v>
      </c>
      <c r="S7" s="60"/>
      <c r="T7" s="44" t="s">
        <v>73</v>
      </c>
      <c r="U7" s="52">
        <v>0.625</v>
      </c>
      <c r="V7" s="52">
        <f t="shared" si="0"/>
        <v>0.3125</v>
      </c>
      <c r="W7" s="52">
        <f t="shared" si="1"/>
        <v>1.4826924031557857E-3</v>
      </c>
      <c r="X7" s="68">
        <f t="shared" si="2"/>
        <v>7.4134620157789287E-4</v>
      </c>
    </row>
    <row r="8" spans="2:24" ht="15.75" thickBot="1" x14ac:dyDescent="0.3">
      <c r="B8" s="30" t="s">
        <v>86</v>
      </c>
      <c r="C8" s="57"/>
      <c r="D8" s="59">
        <f>$H$5/(D7*1000000)</f>
        <v>421.53045275590551</v>
      </c>
      <c r="E8" s="7"/>
      <c r="F8" s="7"/>
      <c r="G8" s="79" t="s">
        <v>7</v>
      </c>
      <c r="H8" s="55">
        <f>H5/(D6*1000000)</f>
        <v>831.18680825108129</v>
      </c>
      <c r="J8" s="16" t="s">
        <v>16</v>
      </c>
      <c r="K8" s="73">
        <v>0.44325164870209077</v>
      </c>
      <c r="L8" s="73">
        <v>0.3</v>
      </c>
      <c r="M8" s="2">
        <f>K8/2*-1</f>
        <v>-0.22162582435104539</v>
      </c>
      <c r="N8" s="2">
        <f>N7</f>
        <v>1</v>
      </c>
      <c r="O8" s="2">
        <f>L8</f>
        <v>0.3</v>
      </c>
      <c r="P8" s="2">
        <f>ABS(M8)</f>
        <v>0.22162582435104539</v>
      </c>
      <c r="Q8" s="2">
        <f>N8</f>
        <v>1</v>
      </c>
      <c r="R8" s="2">
        <f>R7</f>
        <v>1.052E-3</v>
      </c>
      <c r="S8" s="60"/>
      <c r="T8" s="41" t="s">
        <v>74</v>
      </c>
      <c r="U8" s="2">
        <v>0.75</v>
      </c>
      <c r="V8" s="2">
        <f t="shared" si="0"/>
        <v>0.375</v>
      </c>
      <c r="W8" s="2">
        <f t="shared" si="1"/>
        <v>1.7792308837869431E-3</v>
      </c>
      <c r="X8" s="64">
        <f t="shared" si="2"/>
        <v>8.8961544189347153E-4</v>
      </c>
    </row>
    <row r="9" spans="2:24" x14ac:dyDescent="0.25">
      <c r="B9" s="30" t="s">
        <v>87</v>
      </c>
      <c r="C9" s="57"/>
      <c r="D9" s="58" t="s">
        <v>74</v>
      </c>
      <c r="E9" s="7"/>
      <c r="F9" s="7"/>
      <c r="H9" s="23"/>
      <c r="J9" s="16" t="s">
        <v>17</v>
      </c>
      <c r="K9" s="73">
        <v>0.44325164870209077</v>
      </c>
      <c r="L9" s="73">
        <v>0.45</v>
      </c>
      <c r="M9" s="2">
        <f t="shared" ref="M9:M11" si="3">K9/2*-1</f>
        <v>-0.22162582435104539</v>
      </c>
      <c r="N9" s="2">
        <f t="shared" ref="N9:N11" si="4">N8</f>
        <v>1</v>
      </c>
      <c r="O9" s="2">
        <f t="shared" ref="O9:O11" si="5">L9</f>
        <v>0.45</v>
      </c>
      <c r="P9" s="2">
        <f t="shared" ref="P9:P11" si="6">ABS(M9)</f>
        <v>0.22162582435104539</v>
      </c>
      <c r="Q9" s="2">
        <f t="shared" ref="Q9:Q11" si="7">N9</f>
        <v>1</v>
      </c>
      <c r="R9" s="2">
        <f t="shared" ref="R9:R11" si="8">R8</f>
        <v>1.052E-3</v>
      </c>
      <c r="S9" s="60"/>
      <c r="T9" s="44" t="s">
        <v>75</v>
      </c>
      <c r="U9" s="52">
        <v>0.875</v>
      </c>
      <c r="V9" s="52">
        <f t="shared" si="0"/>
        <v>0.4375</v>
      </c>
      <c r="W9" s="52">
        <f t="shared" si="1"/>
        <v>2.0757693644181002E-3</v>
      </c>
      <c r="X9" s="68">
        <f t="shared" si="2"/>
        <v>1.0378846822090501E-3</v>
      </c>
    </row>
    <row r="10" spans="2:24" ht="15.75" thickBot="1" x14ac:dyDescent="0.3">
      <c r="B10" s="6" t="s">
        <v>41</v>
      </c>
      <c r="C10" s="27" t="s">
        <v>51</v>
      </c>
      <c r="D10" s="61">
        <f>INDEX(X4:X19,MATCH(D9,T4:T19,0),1)</f>
        <v>8.8961544189347153E-4</v>
      </c>
      <c r="E10" s="7"/>
      <c r="F10" s="7"/>
      <c r="H10" s="24"/>
      <c r="J10" s="16" t="s">
        <v>18</v>
      </c>
      <c r="K10" s="73">
        <v>0.44325164870209077</v>
      </c>
      <c r="L10" s="73">
        <v>0.6</v>
      </c>
      <c r="M10" s="2">
        <f t="shared" si="3"/>
        <v>-0.22162582435104539</v>
      </c>
      <c r="N10" s="2">
        <f t="shared" si="4"/>
        <v>1</v>
      </c>
      <c r="O10" s="2">
        <f t="shared" si="5"/>
        <v>0.6</v>
      </c>
      <c r="P10" s="2">
        <f t="shared" si="6"/>
        <v>0.22162582435104539</v>
      </c>
      <c r="Q10" s="2">
        <f t="shared" si="7"/>
        <v>1</v>
      </c>
      <c r="R10" s="2">
        <f t="shared" si="8"/>
        <v>1.052E-3</v>
      </c>
      <c r="S10" s="60"/>
      <c r="T10" s="41" t="s">
        <v>76</v>
      </c>
      <c r="U10" s="2">
        <v>1</v>
      </c>
      <c r="V10" s="2">
        <f t="shared" si="0"/>
        <v>0.5</v>
      </c>
      <c r="W10" s="2">
        <f t="shared" si="1"/>
        <v>2.3723078450492573E-3</v>
      </c>
      <c r="X10" s="64">
        <f t="shared" si="2"/>
        <v>1.1861539225246286E-3</v>
      </c>
    </row>
    <row r="11" spans="2:24" ht="15.75" thickBot="1" x14ac:dyDescent="0.3">
      <c r="B11" s="11"/>
      <c r="C11" s="13"/>
      <c r="D11" s="7"/>
      <c r="E11" s="18"/>
      <c r="F11" s="7"/>
      <c r="J11" s="16" t="s">
        <v>19</v>
      </c>
      <c r="K11" s="73">
        <v>0.44325164870209077</v>
      </c>
      <c r="L11" s="73">
        <v>0.75</v>
      </c>
      <c r="M11" s="2">
        <f t="shared" si="3"/>
        <v>-0.22162582435104539</v>
      </c>
      <c r="N11" s="2">
        <f t="shared" si="4"/>
        <v>1</v>
      </c>
      <c r="O11" s="2">
        <f t="shared" si="5"/>
        <v>0.75</v>
      </c>
      <c r="P11" s="2">
        <f t="shared" si="6"/>
        <v>0.22162582435104539</v>
      </c>
      <c r="Q11" s="2">
        <f t="shared" si="7"/>
        <v>1</v>
      </c>
      <c r="R11" s="2">
        <f t="shared" si="8"/>
        <v>1.052E-3</v>
      </c>
      <c r="S11" s="60"/>
      <c r="T11" s="44" t="s">
        <v>77</v>
      </c>
      <c r="U11" s="52">
        <v>1.125</v>
      </c>
      <c r="V11" s="52">
        <f t="shared" si="0"/>
        <v>0.5625</v>
      </c>
      <c r="W11" s="52">
        <f t="shared" si="1"/>
        <v>2.6688463256804144E-3</v>
      </c>
      <c r="X11" s="68">
        <f t="shared" si="2"/>
        <v>1.3344231628402072E-3</v>
      </c>
    </row>
    <row r="12" spans="2:24" x14ac:dyDescent="0.25">
      <c r="B12" s="13"/>
      <c r="C12" s="127" t="s">
        <v>39</v>
      </c>
      <c r="D12" s="128"/>
      <c r="E12" s="129"/>
      <c r="F12" s="10"/>
      <c r="S12" s="60"/>
      <c r="T12" s="41" t="s">
        <v>78</v>
      </c>
      <c r="U12" s="2">
        <v>1.25</v>
      </c>
      <c r="V12" s="2">
        <f t="shared" si="0"/>
        <v>0.625</v>
      </c>
      <c r="W12" s="2">
        <f t="shared" si="1"/>
        <v>2.9653848063115715E-3</v>
      </c>
      <c r="X12" s="64">
        <f t="shared" si="2"/>
        <v>1.4826924031557857E-3</v>
      </c>
    </row>
    <row r="13" spans="2:24" x14ac:dyDescent="0.25">
      <c r="B13" s="11"/>
      <c r="C13" s="30" t="s">
        <v>22</v>
      </c>
      <c r="D13" s="28">
        <f>1/D5</f>
        <v>1901.1406844106464</v>
      </c>
      <c r="E13" s="31" t="s">
        <v>38</v>
      </c>
      <c r="F13" s="10"/>
      <c r="S13" s="60"/>
      <c r="T13" s="44" t="s">
        <v>79</v>
      </c>
      <c r="U13" s="52">
        <v>1.375</v>
      </c>
      <c r="V13" s="52">
        <f t="shared" si="0"/>
        <v>0.6875</v>
      </c>
      <c r="W13" s="52">
        <f t="shared" si="1"/>
        <v>3.261923286942729E-3</v>
      </c>
      <c r="X13" s="68">
        <f t="shared" si="2"/>
        <v>1.6309616434713645E-3</v>
      </c>
    </row>
    <row r="14" spans="2:24" x14ac:dyDescent="0.25">
      <c r="B14" s="11"/>
      <c r="C14" s="32" t="s">
        <v>25</v>
      </c>
      <c r="D14" s="29">
        <f>D17*(1/D16-D16/1)</f>
        <v>-78.852535063687526</v>
      </c>
      <c r="E14" s="33" t="s">
        <v>35</v>
      </c>
      <c r="F14" s="10"/>
      <c r="S14" s="60"/>
      <c r="T14" s="41" t="s">
        <v>80</v>
      </c>
      <c r="U14" s="2">
        <v>1.5</v>
      </c>
      <c r="V14" s="2">
        <f t="shared" si="0"/>
        <v>0.75</v>
      </c>
      <c r="W14" s="2">
        <f t="shared" si="1"/>
        <v>3.5584617675738861E-3</v>
      </c>
      <c r="X14" s="64">
        <f t="shared" si="2"/>
        <v>1.7792308837869431E-3</v>
      </c>
    </row>
    <row r="15" spans="2:24" x14ac:dyDescent="0.25">
      <c r="B15" s="11"/>
      <c r="C15" s="32" t="s">
        <v>31</v>
      </c>
      <c r="D15" s="29">
        <f>(1-(10.7575*LOG(D13)-8)^-1)/2</f>
        <v>0.4816675193977199</v>
      </c>
      <c r="E15" s="33" t="s">
        <v>37</v>
      </c>
      <c r="F15" s="10"/>
      <c r="S15" s="60"/>
      <c r="T15" s="44" t="s">
        <v>81</v>
      </c>
      <c r="U15" s="52">
        <v>1.625</v>
      </c>
      <c r="V15" s="52">
        <f t="shared" si="0"/>
        <v>0.8125</v>
      </c>
      <c r="W15" s="52">
        <f t="shared" si="1"/>
        <v>3.8550002482050432E-3</v>
      </c>
      <c r="X15" s="68">
        <f t="shared" si="2"/>
        <v>1.9275001241025216E-3</v>
      </c>
    </row>
    <row r="16" spans="2:24" x14ac:dyDescent="0.25">
      <c r="B16" s="11"/>
      <c r="C16" s="32" t="s">
        <v>32</v>
      </c>
      <c r="D16" s="29">
        <f>(1-(10.7575*LOG(D13)-8)^-1)/(2*D4)</f>
        <v>1.074886789845618</v>
      </c>
      <c r="E16" s="33" t="s">
        <v>36</v>
      </c>
      <c r="F16" s="9"/>
      <c r="S16" s="60"/>
      <c r="T16" s="41" t="s">
        <v>82</v>
      </c>
      <c r="U16" s="2">
        <v>1.75</v>
      </c>
      <c r="V16" s="2">
        <f t="shared" si="0"/>
        <v>0.875</v>
      </c>
      <c r="W16" s="2">
        <f t="shared" si="1"/>
        <v>4.1515387288362003E-3</v>
      </c>
      <c r="X16" s="64">
        <f t="shared" si="2"/>
        <v>2.0757693644181002E-3</v>
      </c>
    </row>
    <row r="17" spans="3:24" ht="15.75" thickBot="1" x14ac:dyDescent="0.3">
      <c r="C17" s="34" t="s">
        <v>33</v>
      </c>
      <c r="D17" s="35">
        <f>(215.15*LOG(D13)-160)</f>
        <v>545.47991714532304</v>
      </c>
      <c r="E17" s="36" t="s">
        <v>34</v>
      </c>
      <c r="F17" s="9"/>
      <c r="K17" s="54"/>
      <c r="S17" s="60"/>
      <c r="T17" s="44" t="s">
        <v>83</v>
      </c>
      <c r="U17" s="52">
        <v>1.875</v>
      </c>
      <c r="V17" s="52">
        <f t="shared" si="0"/>
        <v>0.9375</v>
      </c>
      <c r="W17" s="52">
        <f t="shared" si="1"/>
        <v>4.4480772094673575E-3</v>
      </c>
      <c r="X17" s="68">
        <f t="shared" si="2"/>
        <v>2.2240386047336787E-3</v>
      </c>
    </row>
    <row r="18" spans="3:24" x14ac:dyDescent="0.25">
      <c r="C18" s="11"/>
      <c r="D18" s="42"/>
      <c r="E18" s="25"/>
      <c r="K18" s="53"/>
      <c r="S18" s="60"/>
      <c r="T18" s="41" t="s">
        <v>84</v>
      </c>
      <c r="U18" s="2">
        <v>2</v>
      </c>
      <c r="V18" s="2">
        <f t="shared" si="0"/>
        <v>1</v>
      </c>
      <c r="W18" s="2">
        <f t="shared" si="1"/>
        <v>4.7446156900985146E-3</v>
      </c>
      <c r="X18" s="64">
        <f t="shared" si="2"/>
        <v>2.3723078450492573E-3</v>
      </c>
    </row>
    <row r="19" spans="3:24" ht="15.75" thickBot="1" x14ac:dyDescent="0.3">
      <c r="C19" s="130" t="s">
        <v>103</v>
      </c>
      <c r="D19" s="130"/>
      <c r="E19" s="130"/>
      <c r="S19" s="60"/>
      <c r="T19" s="49" t="s">
        <v>85</v>
      </c>
      <c r="U19" s="69">
        <v>2.125</v>
      </c>
      <c r="V19" s="69">
        <f t="shared" si="0"/>
        <v>1.0625</v>
      </c>
      <c r="W19" s="69">
        <f t="shared" si="1"/>
        <v>5.0411541707296717E-3</v>
      </c>
      <c r="X19" s="70">
        <f t="shared" si="2"/>
        <v>2.5205770853648358E-3</v>
      </c>
    </row>
    <row r="20" spans="3:24" x14ac:dyDescent="0.25">
      <c r="C20" s="80" t="s">
        <v>53</v>
      </c>
      <c r="D20" s="81">
        <f>1/D5</f>
        <v>1901.1406844106464</v>
      </c>
      <c r="E20" s="82" t="s">
        <v>38</v>
      </c>
      <c r="H20" s="24"/>
    </row>
    <row r="21" spans="3:24" x14ac:dyDescent="0.25">
      <c r="C21" s="83" t="s">
        <v>54</v>
      </c>
      <c r="D21" s="2">
        <f>1/D10</f>
        <v>1124.0812073490813</v>
      </c>
      <c r="E21" s="84" t="s">
        <v>38</v>
      </c>
    </row>
    <row r="22" spans="3:24" x14ac:dyDescent="0.25">
      <c r="C22" s="83" t="s">
        <v>55</v>
      </c>
      <c r="D22" s="38">
        <f>D16</f>
        <v>1.074886789845618</v>
      </c>
      <c r="E22" s="84" t="s">
        <v>43</v>
      </c>
    </row>
    <row r="23" spans="3:24" x14ac:dyDescent="0.25">
      <c r="C23" s="83" t="s">
        <v>42</v>
      </c>
      <c r="D23" s="38">
        <f>(215.15*LOG(D20)-160)*(1/D22-D22)</f>
        <v>-78.852535063687526</v>
      </c>
      <c r="E23" s="84" t="s">
        <v>44</v>
      </c>
    </row>
    <row r="24" spans="3:24" x14ac:dyDescent="0.25">
      <c r="C24" s="83" t="s">
        <v>45</v>
      </c>
      <c r="D24" s="38">
        <f>D23/(215.15*LOG(D21)-160)</f>
        <v>-0.15885546249600979</v>
      </c>
      <c r="E24" s="84" t="s">
        <v>48</v>
      </c>
    </row>
    <row r="25" spans="3:24" x14ac:dyDescent="0.25">
      <c r="C25" s="83" t="s">
        <v>46</v>
      </c>
      <c r="D25" s="38">
        <f>(-D24+(D24^2+4)^0.5)/2</f>
        <v>1.0825771540615783</v>
      </c>
      <c r="E25" s="84" t="s">
        <v>49</v>
      </c>
    </row>
    <row r="26" spans="3:24" ht="15.75" thickBot="1" x14ac:dyDescent="0.3">
      <c r="C26" s="85" t="s">
        <v>47</v>
      </c>
      <c r="D26" s="86">
        <f>(1-(10.7575*LOG(D21)-8)^-1)/(2*D25)</f>
        <v>0.44325164870209077</v>
      </c>
      <c r="E26" s="87" t="s">
        <v>50</v>
      </c>
    </row>
    <row r="27" spans="3:24" x14ac:dyDescent="0.25">
      <c r="E27" s="37"/>
    </row>
  </sheetData>
  <mergeCells count="5">
    <mergeCell ref="L3:N3"/>
    <mergeCell ref="O3:Q3"/>
    <mergeCell ref="C12:E12"/>
    <mergeCell ref="C19:E19"/>
    <mergeCell ref="J2:R2"/>
  </mergeCells>
  <dataValidations disablePrompts="1" count="1">
    <dataValidation type="list" allowBlank="1" showInputMessage="1" showErrorMessage="1" sqref="D9">
      <formula1>$T$4:$T$19</formula1>
    </dataValidation>
  </dataValidations>
  <pageMargins left="0.7" right="0.7" top="0.75" bottom="0.75" header="0.3" footer="0.3"/>
  <ignoredErrors>
    <ignoredError sqref="P6" formula="1"/>
    <ignoredError sqref="E13:E17" numberStoredAsText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workbookViewId="0">
      <selection activeCell="D19" sqref="D19"/>
    </sheetView>
  </sheetViews>
  <sheetFormatPr defaultRowHeight="15" x14ac:dyDescent="0.25"/>
  <cols>
    <col min="1" max="1" width="5.42578125" style="110" customWidth="1"/>
    <col min="2" max="2" width="10" style="110" customWidth="1"/>
    <col min="3" max="4" width="9.140625" style="110"/>
    <col min="5" max="5" width="1.28515625" style="110" customWidth="1"/>
    <col min="6" max="7" width="9.140625" style="110"/>
    <col min="8" max="8" width="1.28515625" style="110" customWidth="1"/>
    <col min="9" max="10" width="9.140625" style="110"/>
    <col min="11" max="11" width="1" style="110" customWidth="1"/>
    <col min="12" max="13" width="9.140625" style="110"/>
    <col min="14" max="14" width="1" style="110" customWidth="1"/>
    <col min="15" max="16384" width="9.140625" style="110"/>
  </cols>
  <sheetData>
    <row r="1" spans="1:17" ht="15.75" thickBot="1" x14ac:dyDescent="0.3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</row>
    <row r="2" spans="1:17" ht="15.75" thickBot="1" x14ac:dyDescent="0.3">
      <c r="A2" s="88"/>
      <c r="B2" s="88"/>
      <c r="C2" s="135" t="s">
        <v>91</v>
      </c>
      <c r="D2" s="136"/>
      <c r="E2" s="92"/>
      <c r="F2" s="135" t="s">
        <v>92</v>
      </c>
      <c r="G2" s="136"/>
      <c r="H2" s="92"/>
      <c r="I2" s="135" t="s">
        <v>93</v>
      </c>
      <c r="J2" s="136"/>
      <c r="K2" s="92"/>
      <c r="L2" s="135" t="s">
        <v>94</v>
      </c>
      <c r="M2" s="136"/>
      <c r="N2" s="92"/>
      <c r="O2" s="135" t="s">
        <v>95</v>
      </c>
      <c r="P2" s="136"/>
      <c r="Q2" s="88"/>
    </row>
    <row r="3" spans="1:17" ht="15.75" thickBot="1" x14ac:dyDescent="0.3">
      <c r="A3" s="88"/>
      <c r="B3" s="39" t="s">
        <v>56</v>
      </c>
      <c r="C3" s="40" t="s">
        <v>4</v>
      </c>
      <c r="D3" s="40" t="s">
        <v>57</v>
      </c>
      <c r="E3" s="111"/>
      <c r="F3" s="104" t="s">
        <v>4</v>
      </c>
      <c r="G3" s="105" t="s">
        <v>57</v>
      </c>
      <c r="H3" s="111"/>
      <c r="I3" s="104" t="s">
        <v>4</v>
      </c>
      <c r="J3" s="105" t="s">
        <v>57</v>
      </c>
      <c r="K3" s="111"/>
      <c r="L3" s="104" t="s">
        <v>4</v>
      </c>
      <c r="M3" s="105" t="s">
        <v>57</v>
      </c>
      <c r="N3" s="111"/>
      <c r="O3" s="104" t="s">
        <v>4</v>
      </c>
      <c r="P3" s="105" t="s">
        <v>57</v>
      </c>
      <c r="Q3" s="88"/>
    </row>
    <row r="4" spans="1:17" x14ac:dyDescent="0.25">
      <c r="A4" s="88"/>
      <c r="B4" s="89" t="s">
        <v>58</v>
      </c>
      <c r="C4" s="90">
        <v>0</v>
      </c>
      <c r="D4" s="91">
        <v>0.49365999999999999</v>
      </c>
      <c r="E4" s="92"/>
      <c r="F4" s="102">
        <v>0</v>
      </c>
      <c r="G4" s="103">
        <v>0.49801000000000001</v>
      </c>
      <c r="H4" s="92"/>
      <c r="I4" s="102">
        <v>0</v>
      </c>
      <c r="J4" s="103">
        <v>0.49185000000000001</v>
      </c>
      <c r="K4" s="92"/>
      <c r="L4" s="106">
        <v>0</v>
      </c>
      <c r="M4" s="103">
        <v>0.49994</v>
      </c>
      <c r="N4" s="92"/>
      <c r="O4" s="102">
        <v>0</v>
      </c>
      <c r="P4" s="107">
        <v>0.49528</v>
      </c>
      <c r="Q4" s="88"/>
    </row>
    <row r="5" spans="1:17" x14ac:dyDescent="0.25">
      <c r="A5" s="88"/>
      <c r="B5" s="44" t="s">
        <v>59</v>
      </c>
      <c r="C5" s="45">
        <v>0.15</v>
      </c>
      <c r="D5" s="46">
        <v>0.47049999999999997</v>
      </c>
      <c r="E5" s="92"/>
      <c r="F5" s="45">
        <v>0.15</v>
      </c>
      <c r="G5" s="46">
        <v>0.48963000000000001</v>
      </c>
      <c r="H5" s="92"/>
      <c r="I5" s="45">
        <v>0.25</v>
      </c>
      <c r="J5" s="46">
        <v>0.47899999999999998</v>
      </c>
      <c r="K5" s="92"/>
      <c r="L5" s="47">
        <v>0.1875</v>
      </c>
      <c r="M5" s="46">
        <v>0.48039999999999999</v>
      </c>
      <c r="N5" s="92"/>
      <c r="O5" s="45">
        <v>0.15</v>
      </c>
      <c r="P5" s="48">
        <v>0.48027999999999998</v>
      </c>
      <c r="Q5" s="88"/>
    </row>
    <row r="6" spans="1:17" x14ac:dyDescent="0.25">
      <c r="A6" s="88"/>
      <c r="B6" s="89" t="s">
        <v>60</v>
      </c>
      <c r="C6" s="92"/>
      <c r="D6" s="92"/>
      <c r="E6" s="92"/>
      <c r="F6" s="90">
        <v>0.3</v>
      </c>
      <c r="G6" s="93">
        <v>0.46899999999999997</v>
      </c>
      <c r="H6" s="92"/>
      <c r="I6" s="90">
        <v>0.5</v>
      </c>
      <c r="J6" s="93">
        <v>0.46318999999999999</v>
      </c>
      <c r="K6" s="92"/>
      <c r="L6" s="94">
        <v>0.375</v>
      </c>
      <c r="M6" s="93">
        <v>0.45232</v>
      </c>
      <c r="N6" s="92"/>
      <c r="O6" s="90">
        <v>0.3</v>
      </c>
      <c r="P6" s="95">
        <v>0.44811000000000001</v>
      </c>
      <c r="Q6" s="88"/>
    </row>
    <row r="7" spans="1:17" x14ac:dyDescent="0.25">
      <c r="A7" s="88"/>
      <c r="B7" s="44" t="s">
        <v>61</v>
      </c>
      <c r="C7" s="92"/>
      <c r="D7" s="92"/>
      <c r="E7" s="92"/>
      <c r="F7" s="92"/>
      <c r="G7" s="92"/>
      <c r="H7" s="92"/>
      <c r="I7" s="45">
        <v>0.75</v>
      </c>
      <c r="J7" s="46">
        <v>0.46318999999999999</v>
      </c>
      <c r="K7" s="92"/>
      <c r="L7" s="47">
        <v>0.5625</v>
      </c>
      <c r="M7" s="46">
        <v>0.45232</v>
      </c>
      <c r="N7" s="92"/>
      <c r="O7" s="45">
        <v>0.45</v>
      </c>
      <c r="P7" s="48">
        <v>0.44811000000000001</v>
      </c>
      <c r="Q7" s="88"/>
    </row>
    <row r="8" spans="1:17" x14ac:dyDescent="0.25">
      <c r="A8" s="88"/>
      <c r="B8" s="89" t="s">
        <v>62</v>
      </c>
      <c r="C8" s="92"/>
      <c r="D8" s="92"/>
      <c r="E8" s="92"/>
      <c r="F8" s="92"/>
      <c r="G8" s="92"/>
      <c r="H8" s="92"/>
      <c r="I8" s="92"/>
      <c r="J8" s="92"/>
      <c r="K8" s="92"/>
      <c r="L8" s="94">
        <v>0.75</v>
      </c>
      <c r="M8" s="93">
        <v>0.45232</v>
      </c>
      <c r="N8" s="92"/>
      <c r="O8" s="90">
        <v>0.6</v>
      </c>
      <c r="P8" s="95">
        <v>0.44811000000000001</v>
      </c>
      <c r="Q8" s="88"/>
    </row>
    <row r="9" spans="1:17" ht="15.75" thickBot="1" x14ac:dyDescent="0.3">
      <c r="A9" s="88"/>
      <c r="B9" s="49" t="s">
        <v>63</v>
      </c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50">
        <v>0.75</v>
      </c>
      <c r="P9" s="51">
        <v>0.44811000000000001</v>
      </c>
      <c r="Q9" s="88"/>
    </row>
    <row r="10" spans="1:17" x14ac:dyDescent="0.25">
      <c r="A10" s="88"/>
      <c r="B10" s="98" t="s">
        <v>96</v>
      </c>
      <c r="C10" s="134">
        <v>6.88</v>
      </c>
      <c r="D10" s="134"/>
      <c r="E10" s="109"/>
      <c r="F10" s="134">
        <v>7.86</v>
      </c>
      <c r="G10" s="134"/>
      <c r="H10" s="109"/>
      <c r="I10" s="134">
        <v>10.62</v>
      </c>
      <c r="J10" s="134"/>
      <c r="K10" s="109"/>
      <c r="L10" s="134">
        <v>10.45</v>
      </c>
      <c r="M10" s="134"/>
      <c r="N10" s="109"/>
      <c r="O10" s="134">
        <v>10.7</v>
      </c>
      <c r="P10" s="137"/>
      <c r="Q10" s="88"/>
    </row>
    <row r="11" spans="1:17" ht="15.75" thickBot="1" x14ac:dyDescent="0.3">
      <c r="A11" s="88"/>
      <c r="B11" s="96" t="s">
        <v>97</v>
      </c>
      <c r="C11" s="132">
        <v>7.94</v>
      </c>
      <c r="D11" s="132"/>
      <c r="E11" s="108"/>
      <c r="F11" s="132">
        <v>23.6</v>
      </c>
      <c r="G11" s="132"/>
      <c r="H11" s="108"/>
      <c r="I11" s="132">
        <v>41.62</v>
      </c>
      <c r="J11" s="132"/>
      <c r="K11" s="108"/>
      <c r="L11" s="132">
        <v>32.270000000000003</v>
      </c>
      <c r="M11" s="132"/>
      <c r="N11" s="108"/>
      <c r="O11" s="132">
        <v>52.71</v>
      </c>
      <c r="P11" s="133"/>
      <c r="Q11" s="88"/>
    </row>
    <row r="12" spans="1:17" ht="15.75" thickBot="1" x14ac:dyDescent="0.3">
      <c r="A12" s="88"/>
      <c r="B12" s="99" t="s">
        <v>98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1"/>
      <c r="Q12" s="88"/>
    </row>
    <row r="13" spans="1:17" x14ac:dyDescent="0.25">
      <c r="A13" s="88"/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</row>
    <row r="14" spans="1:17" x14ac:dyDescent="0.25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</row>
  </sheetData>
  <mergeCells count="15">
    <mergeCell ref="C2:D2"/>
    <mergeCell ref="F2:G2"/>
    <mergeCell ref="I2:J2"/>
    <mergeCell ref="L2:M2"/>
    <mergeCell ref="O2:P2"/>
    <mergeCell ref="O11:P11"/>
    <mergeCell ref="C11:D11"/>
    <mergeCell ref="F10:G10"/>
    <mergeCell ref="F11:G11"/>
    <mergeCell ref="I10:J10"/>
    <mergeCell ref="I11:J11"/>
    <mergeCell ref="L10:M10"/>
    <mergeCell ref="L11:M11"/>
    <mergeCell ref="C10:D10"/>
    <mergeCell ref="O10:P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K5" sqref="K5"/>
    </sheetView>
  </sheetViews>
  <sheetFormatPr defaultRowHeight="15" x14ac:dyDescent="0.25"/>
  <cols>
    <col min="1" max="1" width="6.28515625" customWidth="1"/>
    <col min="3" max="3" width="9.7109375" bestFit="1" customWidth="1"/>
    <col min="4" max="5" width="9.5703125" bestFit="1" customWidth="1"/>
    <col min="6" max="6" width="1.7109375" customWidth="1"/>
    <col min="10" max="10" width="1.7109375" customWidth="1"/>
  </cols>
  <sheetData>
    <row r="1" spans="1:14" x14ac:dyDescent="0.25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4" ht="15.75" thickBot="1" x14ac:dyDescent="0.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14" x14ac:dyDescent="0.25">
      <c r="A3" s="88"/>
      <c r="B3" s="88"/>
      <c r="C3" s="138" t="s">
        <v>64</v>
      </c>
      <c r="D3" s="139"/>
      <c r="E3" s="140"/>
      <c r="F3" s="88"/>
      <c r="G3" s="138" t="s">
        <v>101</v>
      </c>
      <c r="H3" s="139"/>
      <c r="I3" s="140"/>
      <c r="J3" s="88"/>
      <c r="K3" s="138" t="s">
        <v>65</v>
      </c>
      <c r="L3" s="139"/>
      <c r="M3" s="140"/>
      <c r="N3" s="88"/>
    </row>
    <row r="4" spans="1:14" ht="15.75" thickBot="1" x14ac:dyDescent="0.3">
      <c r="A4" s="88"/>
      <c r="B4" s="88"/>
      <c r="C4" s="119" t="s">
        <v>66</v>
      </c>
      <c r="D4" s="120" t="s">
        <v>67</v>
      </c>
      <c r="E4" s="121" t="s">
        <v>68</v>
      </c>
      <c r="F4" s="88"/>
      <c r="G4" s="119" t="s">
        <v>66</v>
      </c>
      <c r="H4" s="120" t="s">
        <v>67</v>
      </c>
      <c r="I4" s="121" t="s">
        <v>68</v>
      </c>
      <c r="J4" s="88"/>
      <c r="K4" s="119" t="s">
        <v>66</v>
      </c>
      <c r="L4" s="120" t="s">
        <v>67</v>
      </c>
      <c r="M4" s="121" t="s">
        <v>68</v>
      </c>
      <c r="N4" s="88"/>
    </row>
    <row r="5" spans="1:14" x14ac:dyDescent="0.25">
      <c r="A5" s="88"/>
      <c r="B5" s="112" t="s">
        <v>57</v>
      </c>
      <c r="C5" s="113">
        <v>0.49528</v>
      </c>
      <c r="D5" s="113">
        <v>0.49489</v>
      </c>
      <c r="E5" s="114">
        <v>0.49464999999999998</v>
      </c>
      <c r="F5" s="88"/>
      <c r="G5" s="117">
        <v>0.48027999999999998</v>
      </c>
      <c r="H5" s="113">
        <v>0.47876000000000002</v>
      </c>
      <c r="I5" s="114">
        <v>0.47785</v>
      </c>
      <c r="J5" s="88"/>
      <c r="K5" s="117">
        <v>0.44811000000000001</v>
      </c>
      <c r="L5" s="113">
        <v>0.44430999999999998</v>
      </c>
      <c r="M5" s="114">
        <v>0.44203999999999999</v>
      </c>
      <c r="N5" s="88"/>
    </row>
    <row r="6" spans="1:14" x14ac:dyDescent="0.25">
      <c r="A6" s="88"/>
      <c r="B6" s="115" t="s">
        <v>99</v>
      </c>
      <c r="C6" s="93">
        <v>0.97252000000000005</v>
      </c>
      <c r="D6" s="93">
        <v>0.97041999999999995</v>
      </c>
      <c r="E6" s="116">
        <v>0.96916999999999998</v>
      </c>
      <c r="F6" s="88"/>
      <c r="G6" s="118">
        <v>1.0028900000000001</v>
      </c>
      <c r="H6" s="93">
        <v>1.0031099999999999</v>
      </c>
      <c r="I6" s="116">
        <v>1.00325</v>
      </c>
      <c r="J6" s="88"/>
      <c r="K6" s="118">
        <v>1.0748899999999999</v>
      </c>
      <c r="L6" s="93">
        <v>1.0809</v>
      </c>
      <c r="M6" s="116">
        <v>1.0845100000000001</v>
      </c>
      <c r="N6" s="88"/>
    </row>
    <row r="7" spans="1:14" ht="15.75" thickBot="1" x14ac:dyDescent="0.3">
      <c r="A7" s="88"/>
      <c r="B7" s="122" t="s">
        <v>100</v>
      </c>
      <c r="C7" s="123">
        <v>30.408000000000001</v>
      </c>
      <c r="D7" s="123">
        <v>30.408000000000001</v>
      </c>
      <c r="E7" s="124">
        <v>30.4008</v>
      </c>
      <c r="F7" s="88"/>
      <c r="G7" s="125">
        <v>-3.1469999999999998</v>
      </c>
      <c r="H7" s="123">
        <v>-3.1469999999999998</v>
      </c>
      <c r="I7" s="124">
        <v>-3.1469999999999998</v>
      </c>
      <c r="J7" s="88"/>
      <c r="K7" s="125">
        <v>-78.581999999999994</v>
      </c>
      <c r="L7" s="123">
        <v>-78.852000000000004</v>
      </c>
      <c r="M7" s="124">
        <v>-78.852000000000004</v>
      </c>
      <c r="N7" s="88"/>
    </row>
    <row r="8" spans="1:14" ht="15.75" thickBot="1" x14ac:dyDescent="0.3">
      <c r="A8" s="88"/>
      <c r="B8" s="141" t="s">
        <v>102</v>
      </c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3"/>
      <c r="N8" s="88"/>
    </row>
    <row r="9" spans="1:14" x14ac:dyDescent="0.25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</row>
    <row r="10" spans="1:14" x14ac:dyDescent="0.25">
      <c r="A10" s="88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</row>
  </sheetData>
  <mergeCells count="4">
    <mergeCell ref="C3:E3"/>
    <mergeCell ref="G3:I3"/>
    <mergeCell ref="K3:M3"/>
    <mergeCell ref="B8:M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Scaling</vt:lpstr>
      <vt:lpstr>Table 1</vt:lpstr>
      <vt:lpstr>Table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Morgan</dc:creator>
  <cp:lastModifiedBy>Eugene Morgan</cp:lastModifiedBy>
  <dcterms:created xsi:type="dcterms:W3CDTF">2023-05-05T21:31:03Z</dcterms:created>
  <dcterms:modified xsi:type="dcterms:W3CDTF">2023-06-18T04:56:37Z</dcterms:modified>
</cp:coreProperties>
</file>